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225" windowWidth="8115" windowHeight="7725" firstSheet="1" activeTab="1"/>
  </bookViews>
  <sheets>
    <sheet name="SOAR8.XLS" sheetId="1" r:id="rId1"/>
    <sheet name="SOAR8.XLC" sheetId="2" r:id="rId2"/>
  </sheets>
  <definedNames>
    <definedName name="ambpres">'SOAR8.XLS'!$E$4</definedName>
    <definedName name="CVSR">'SOAR8.XLS'!$V$14</definedName>
    <definedName name="dewpt">'SOAR8.XLS'!$E$7</definedName>
    <definedName name="dewpt_c">'SOAR8.XLS'!$T$3</definedName>
    <definedName name="dry">'SOAR8.XLS'!$V$13</definedName>
    <definedName name="maxtemp">'SOAR8.XLS'!$E$6</definedName>
    <definedName name="maxtmp_c">'SOAR8.XLS'!$T$2</definedName>
    <definedName name="sitealt">'SOAR8.XLS'!$E$8</definedName>
    <definedName name="sitepres">'SOAR8.XLS'!$E$9</definedName>
    <definedName name="soundalt">'SOAR8.XLS'!$E$5</definedName>
    <definedName name="std_rate">'SOAR8.XLS'!$H$9</definedName>
    <definedName name="wet">'SOAR8.XLS'!$V$12</definedName>
  </definedNames>
  <calcPr fullCalcOnLoad="1"/>
</workbook>
</file>

<file path=xl/sharedStrings.xml><?xml version="1.0" encoding="utf-8"?>
<sst xmlns="http://schemas.openxmlformats.org/spreadsheetml/2006/main" count="29" uniqueCount="27">
  <si>
    <t>Sounding:</t>
  </si>
  <si>
    <t>slopes</t>
  </si>
  <si>
    <t>tmp-int</t>
  </si>
  <si>
    <t>tmp_int_f</t>
  </si>
  <si>
    <t>alt_int</t>
  </si>
  <si>
    <t>pres_int</t>
  </si>
  <si>
    <t>Alt</t>
  </si>
  <si>
    <t>Temp</t>
  </si>
  <si>
    <t>Site:</t>
  </si>
  <si>
    <t>Sounding and Site data:</t>
  </si>
  <si>
    <t>Ambient Pressure:</t>
  </si>
  <si>
    <t>Sounding Altitude:</t>
  </si>
  <si>
    <t>Site Max Temp, °F:</t>
  </si>
  <si>
    <t>Site Dew Pt Temp, °F:</t>
  </si>
  <si>
    <t>Site Altitude:</t>
  </si>
  <si>
    <t>std_rate</t>
  </si>
  <si>
    <t>Site Pressure (calc):</t>
  </si>
  <si>
    <t>Winds Aloft</t>
  </si>
  <si>
    <t>Pressure</t>
  </si>
  <si>
    <t>Altitude</t>
  </si>
  <si>
    <t>Dir</t>
  </si>
  <si>
    <t>Vel</t>
  </si>
  <si>
    <t>Results,</t>
  </si>
  <si>
    <t>MSL</t>
  </si>
  <si>
    <t xml:space="preserve">Cloudbase Forecast </t>
  </si>
  <si>
    <t>www.flybc.org</t>
  </si>
  <si>
    <t>meters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</si>
</sst>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##0;;"/>
    <numFmt numFmtId="174" formatCode="0.0000"/>
    <numFmt numFmtId="175" formatCode="0\°"/>
    <numFmt numFmtId="176" formatCode="0\°\ \F"/>
    <numFmt numFmtId="177" formatCode="0\°\ \C"/>
    <numFmt numFmtId="178" formatCode="0\ &quot;mb&quot;"/>
    <numFmt numFmtId="179" formatCode="0\ \F\t"/>
    <numFmt numFmtId="180" formatCode="0.0\°\ \C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8"/>
      <color indexed="17"/>
      <name val="Helv"/>
      <family val="0"/>
    </font>
    <font>
      <b/>
      <sz val="8"/>
      <color indexed="12"/>
      <name val="Helv"/>
      <family val="0"/>
    </font>
    <font>
      <b/>
      <sz val="12"/>
      <name val="Helv"/>
      <family val="0"/>
    </font>
    <font>
      <u val="single"/>
      <sz val="20"/>
      <color indexed="12"/>
      <name val="Helv"/>
      <family val="0"/>
    </font>
    <font>
      <sz val="10"/>
      <name val="Arial Black"/>
      <family val="2"/>
    </font>
    <font>
      <u val="single"/>
      <sz val="20"/>
      <color indexed="12"/>
      <name val="Arial 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>
      <alignment/>
      <protection locked="0"/>
    </xf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>
      <alignment/>
      <protection locked="0"/>
    </xf>
    <xf numFmtId="1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</cellStyleXfs>
  <cellXfs count="86">
    <xf numFmtId="0" fontId="0" fillId="0" borderId="0" xfId="0" applyAlignment="1">
      <alignment/>
    </xf>
    <xf numFmtId="0" fontId="4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177" fontId="5" fillId="0" borderId="3" xfId="23" applyFont="1" applyBorder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177" fontId="0" fillId="0" borderId="0" xfId="23">
      <alignment/>
      <protection/>
    </xf>
    <xf numFmtId="176" fontId="0" fillId="0" borderId="0" xfId="24">
      <alignment/>
      <protection/>
    </xf>
    <xf numFmtId="2" fontId="1" fillId="0" borderId="0" xfId="0" applyNumberFormat="1" applyFont="1" applyAlignment="1">
      <alignment/>
    </xf>
    <xf numFmtId="1" fontId="0" fillId="0" borderId="0" xfId="20">
      <alignment/>
      <protection/>
    </xf>
    <xf numFmtId="2" fontId="1" fillId="0" borderId="0" xfId="0" applyNumberFormat="1" applyFont="1" applyBorder="1" applyAlignment="1">
      <alignment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 locked="0"/>
    </xf>
    <xf numFmtId="177" fontId="5" fillId="0" borderId="6" xfId="23" applyFont="1" applyBorder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3" fontId="1" fillId="0" borderId="0" xfId="0" applyNumberFormat="1" applyFont="1" applyBorder="1" applyAlignment="1">
      <alignment/>
    </xf>
    <xf numFmtId="0" fontId="4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177" fontId="5" fillId="0" borderId="8" xfId="23" applyFont="1" applyBorder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177" fontId="5" fillId="0" borderId="3" xfId="23" applyFont="1" applyBorder="1" applyProtection="1">
      <alignment/>
      <protection/>
    </xf>
    <xf numFmtId="178" fontId="6" fillId="0" borderId="3" xfId="19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23" applyFont="1" applyBorder="1" applyProtection="1">
      <alignment/>
      <protection/>
    </xf>
    <xf numFmtId="179" fontId="6" fillId="0" borderId="0" xfId="15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/>
    </xf>
    <xf numFmtId="176" fontId="6" fillId="0" borderId="0" xfId="24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" fontId="5" fillId="0" borderId="11" xfId="20" applyFont="1" applyBorder="1" applyProtection="1">
      <alignment/>
      <protection/>
    </xf>
    <xf numFmtId="173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79" fontId="6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177" fontId="5" fillId="0" borderId="6" xfId="23" applyFont="1" applyBorder="1" applyProtection="1">
      <alignment/>
      <protection/>
    </xf>
    <xf numFmtId="178" fontId="7" fillId="0" borderId="6" xfId="19" applyFont="1" applyBorder="1" applyAlignment="1" applyProtection="1">
      <alignment horizontal="left"/>
      <protection/>
    </xf>
    <xf numFmtId="1" fontId="5" fillId="0" borderId="5" xfId="20" applyFont="1" applyBorder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176" fontId="4" fillId="0" borderId="1" xfId="24" applyFont="1" applyBorder="1" applyAlignment="1" applyProtection="1">
      <alignment horizontal="centerContinuous"/>
      <protection/>
    </xf>
    <xf numFmtId="1" fontId="4" fillId="0" borderId="2" xfId="20" applyFont="1" applyBorder="1" applyAlignment="1" applyProtection="1">
      <alignment horizontal="centerContinuous"/>
      <protection/>
    </xf>
    <xf numFmtId="176" fontId="5" fillId="0" borderId="4" xfId="24" applyFont="1" applyBorder="1" applyAlignment="1" applyProtection="1">
      <alignment horizontal="center"/>
      <protection/>
    </xf>
    <xf numFmtId="1" fontId="5" fillId="0" borderId="6" xfId="2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1" fontId="5" fillId="0" borderId="5" xfId="20" applyFont="1" applyBorder="1" applyAlignment="1" applyProtection="1">
      <alignment horizontal="center"/>
      <protection/>
    </xf>
    <xf numFmtId="176" fontId="6" fillId="0" borderId="1" xfId="24" applyFont="1" applyBorder="1" applyAlignment="1" applyProtection="1">
      <alignment horizontal="center"/>
      <protection locked="0"/>
    </xf>
    <xf numFmtId="178" fontId="6" fillId="0" borderId="3" xfId="19" applyFont="1" applyBorder="1" applyProtection="1">
      <alignment/>
      <protection locked="0"/>
    </xf>
    <xf numFmtId="179" fontId="7" fillId="0" borderId="3" xfId="15" applyFont="1" applyBorder="1" applyProtection="1">
      <alignment/>
      <protection/>
    </xf>
    <xf numFmtId="176" fontId="5" fillId="0" borderId="1" xfId="24" applyFont="1" applyBorder="1" applyProtection="1">
      <alignment/>
      <protection locked="0"/>
    </xf>
    <xf numFmtId="1" fontId="5" fillId="0" borderId="2" xfId="20" applyFont="1" applyBorder="1" applyProtection="1">
      <alignment/>
      <protection locked="0"/>
    </xf>
    <xf numFmtId="176" fontId="6" fillId="0" borderId="10" xfId="24" applyFont="1" applyBorder="1" applyAlignment="1" applyProtection="1">
      <alignment horizontal="center"/>
      <protection locked="0"/>
    </xf>
    <xf numFmtId="178" fontId="6" fillId="0" borderId="0" xfId="19" applyFont="1" applyBorder="1" applyProtection="1">
      <alignment/>
      <protection locked="0"/>
    </xf>
    <xf numFmtId="179" fontId="7" fillId="0" borderId="0" xfId="15" applyFont="1" applyBorder="1" applyProtection="1">
      <alignment/>
      <protection/>
    </xf>
    <xf numFmtId="176" fontId="5" fillId="0" borderId="10" xfId="24" applyFont="1" applyBorder="1" applyProtection="1">
      <alignment/>
      <protection locked="0"/>
    </xf>
    <xf numFmtId="1" fontId="5" fillId="0" borderId="11" xfId="20" applyFont="1" applyBorder="1" applyProtection="1">
      <alignment/>
      <protection locked="0"/>
    </xf>
    <xf numFmtId="173" fontId="0" fillId="0" borderId="0" xfId="0" applyNumberFormat="1" applyAlignment="1">
      <alignment/>
    </xf>
    <xf numFmtId="176" fontId="5" fillId="0" borderId="4" xfId="24" applyFont="1" applyBorder="1" applyProtection="1">
      <alignment/>
      <protection locked="0"/>
    </xf>
    <xf numFmtId="1" fontId="5" fillId="0" borderId="5" xfId="20" applyFont="1" applyBorder="1" applyProtection="1">
      <alignment/>
      <protection locked="0"/>
    </xf>
    <xf numFmtId="0" fontId="4" fillId="0" borderId="8" xfId="0" applyFont="1" applyBorder="1" applyAlignment="1" applyProtection="1">
      <alignment/>
      <protection/>
    </xf>
    <xf numFmtId="176" fontId="5" fillId="0" borderId="8" xfId="24" applyFont="1" applyBorder="1" applyProtection="1">
      <alignment/>
      <protection/>
    </xf>
    <xf numFmtId="1" fontId="5" fillId="0" borderId="9" xfId="20" applyFont="1" applyBorder="1" applyProtection="1">
      <alignment/>
      <protection/>
    </xf>
    <xf numFmtId="1" fontId="5" fillId="0" borderId="2" xfId="20" applyFont="1" applyBorder="1" applyProtection="1">
      <alignment/>
      <protection/>
    </xf>
    <xf numFmtId="176" fontId="5" fillId="0" borderId="0" xfId="24" applyFont="1" applyBorder="1" applyProtection="1">
      <alignment/>
      <protection/>
    </xf>
    <xf numFmtId="176" fontId="5" fillId="0" borderId="6" xfId="24" applyFont="1" applyBorder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7" fontId="5" fillId="0" borderId="0" xfId="23" applyFont="1">
      <alignment/>
      <protection/>
    </xf>
    <xf numFmtId="176" fontId="5" fillId="0" borderId="0" xfId="24" applyFont="1">
      <alignment/>
      <protection/>
    </xf>
    <xf numFmtId="1" fontId="5" fillId="0" borderId="0" xfId="20" applyFont="1">
      <alignment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7" fontId="10" fillId="0" borderId="0" xfId="23" applyFont="1">
      <alignment/>
      <protection/>
    </xf>
    <xf numFmtId="176" fontId="10" fillId="0" borderId="0" xfId="24" applyFont="1">
      <alignment/>
      <protection/>
    </xf>
    <xf numFmtId="1" fontId="11" fillId="0" borderId="0" xfId="18" applyFont="1" applyAlignment="1">
      <alignment/>
    </xf>
    <xf numFmtId="1" fontId="10" fillId="0" borderId="0" xfId="20" applyFont="1">
      <alignment/>
      <protection/>
    </xf>
    <xf numFmtId="1" fontId="5" fillId="0" borderId="3" xfId="24" applyNumberFormat="1" applyFont="1" applyBorder="1" applyProtection="1">
      <alignment/>
      <protection/>
    </xf>
    <xf numFmtId="180" fontId="0" fillId="0" borderId="0" xfId="23" applyNumberFormat="1">
      <alignment/>
      <protection/>
    </xf>
  </cellXfs>
  <cellStyles count="11">
    <cellStyle name="Normal" xfId="0"/>
    <cellStyle name="Alt" xfId="15"/>
    <cellStyle name="Comma" xfId="16"/>
    <cellStyle name="Currency" xfId="17"/>
    <cellStyle name="Hyperlink" xfId="18"/>
    <cellStyle name="mb" xfId="19"/>
    <cellStyle name="NUM" xfId="20"/>
    <cellStyle name="Percent" xfId="21"/>
    <cellStyle name="TEMP" xfId="22"/>
    <cellStyle name="TEMP C" xfId="23"/>
    <cellStyle name="TEMP F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Soaring Forecast, Pressure domain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55"/>
          <c:w val="0.9152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'SOAR8.XLS'!$E$10</c:f>
              <c:strCache/>
            </c:strRef>
          </c:xVal>
          <c:yVal>
            <c:numRef>
              <c:f>'SOAR8.XLS'!$F$6:$F$11</c:f>
              <c:numCache/>
            </c:numRef>
          </c:yVal>
          <c:smooth val="0"/>
        </c:ser>
        <c:ser>
          <c:idx val="1"/>
          <c:order val="1"/>
          <c:tx>
            <c:strRef>
              <c:f>'SOAR8.XLS'!$Y$2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wordArtVert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DewPt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'SOAR8.XLS'!$Z$2:$Z$3</c:f>
              <c:numCache/>
            </c:numRef>
          </c:xVal>
          <c:yVal>
            <c:numRef>
              <c:f>'SOAR8.XLS'!$U$2:$U$3</c:f>
              <c:numCache/>
            </c:numRef>
          </c:yVal>
          <c:smooth val="0"/>
        </c:ser>
        <c:ser>
          <c:idx val="2"/>
          <c:order val="2"/>
          <c:tx>
            <c:strRef>
              <c:f>'SOAR8.XLS'!$Z$2</c:f>
              <c:strCache>
                <c:ptCount val="1"/>
                <c:pt idx="0">
                  <c:v>48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'SOAR8.XLS'!$A$20</c:f>
                  <c:strCache>
                    <c:ptCount val="1"/>
                    <c:pt idx="0">
                      <c:v>7992 ft MSL cloudbase</c:v>
                    </c:pt>
                  </c:strCache>
                </c:strRef>
              </c:tx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'SOAR8.XLS'!$Z$3:$Z$4</c:f>
              <c:numCache/>
            </c:numRef>
          </c:xVal>
          <c:yVal>
            <c:numRef>
              <c:f>'SOAR8.XLS'!$U$3:$U$4</c:f>
              <c:numCache/>
            </c:numRef>
          </c:yVal>
          <c:smooth val="0"/>
        </c:ser>
        <c:ser>
          <c:idx val="3"/>
          <c:order val="3"/>
          <c:tx>
            <c:strRef>
              <c:f>'SOAR8.XLS'!$AA$2</c:f>
              <c:strCache>
                <c:ptCount val="1"/>
                <c:pt idx="0">
                  <c:v>81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wordArtVert" rot="0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Tmax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'SOAR8.XLS'!$AA$2:$AA$3</c:f>
              <c:numCache/>
            </c:numRef>
          </c:xVal>
          <c:yVal>
            <c:numRef>
              <c:f>'SOAR8.XLS'!$U$2:$U$3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strRef>
                  <c:f>'SOAR8.XLS'!$A$21</c:f>
                  <c:strCache>
                    <c:ptCount val="1"/>
                    <c:pt idx="0">
                      <c:v>2904 ft MSL Height of -3</c:v>
                    </c:pt>
                  </c:strCache>
                </c:strRef>
              </c:tx>
              <c:txPr>
                <a:bodyPr vert="horz" rot="0" anchor="b"/>
                <a:lstStyle/>
                <a:p>
                  <a:pPr algn="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'SOAR8.XLS'!$AB$2:$AB$3</c:f>
              <c:numCache/>
            </c:numRef>
          </c:xVal>
          <c:yVal>
            <c:numRef>
              <c:f>'SOAR8.XLS'!$X$2:$X$3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'SOAR8.XLS'!$A$22</c:f>
                  <c:strCache>
                    <c:ptCount val="1"/>
                    <c:pt idx="0">
                      <c:v>74 deg F Trigger Temp</c:v>
                    </c:pt>
                  </c:strCache>
                </c:strRef>
              </c:tx>
              <c:txPr>
                <a:bodyPr vert="horz" rot="0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'SOAR8.XLS'!$AB$6:$AB$7</c:f>
              <c:numCache/>
            </c:numRef>
          </c:xVal>
          <c:yVal>
            <c:numRef>
              <c:f>'SOAR8.XLS'!$X$6:$X$7</c:f>
              <c:numCache/>
            </c:numRef>
          </c:yVal>
          <c:smooth val="0"/>
        </c:ser>
        <c:axId val="57345211"/>
        <c:axId val="46344852"/>
      </c:scatterChart>
      <c:valAx>
        <c:axId val="57345211"/>
        <c:scaling>
          <c:orientation val="minMax"/>
          <c:max val="100"/>
          <c:min val="1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Temp,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46344852"/>
        <c:crosses val="max"/>
        <c:crossBetween val="midCat"/>
        <c:dispUnits/>
      </c:valAx>
      <c:valAx>
        <c:axId val="46344852"/>
        <c:scaling>
          <c:orientation val="maxMin"/>
          <c:max val="1000"/>
          <c:min val="7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Altitude, Ft AGL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57345211"/>
        <c:crosses val="max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Soaring Forecast, MSL Altitude domain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325"/>
          <c:w val="0.919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>
                <c:strRef>
                  <c:f>'SOAR8.XLS'!$A$23</c:f>
                  <c:strCache>
                    <c:ptCount val="1"/>
                    <c:pt idx="0">
                      <c:v>7124 ft MSL convection ceiling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'SOAR8.XLS'!$A$12:$A$18</c:f>
              <c:numCache/>
            </c:numRef>
          </c:xVal>
          <c:yVal>
            <c:numRef>
              <c:f>'SOAR8.XLS'!$C$12:$C$18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'SOAR8.XLS'!$Z$2:$Z$3</c:f>
              <c:numCache/>
            </c:numRef>
          </c:xVal>
          <c:yVal>
            <c:numRef>
              <c:f>'SOAR8.XLS'!$V$9:$V$10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'SOAR8.XLS'!$A$20</c:f>
                  <c:strCache>
                    <c:ptCount val="1"/>
                    <c:pt idx="0">
                      <c:v>7992 ft MSL cloudbase</c:v>
                    </c:pt>
                  </c:strCache>
                </c:strRef>
              </c:tx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'SOAR8.XLS'!$Z$3:$Z$4</c:f>
              <c:numCache/>
            </c:numRef>
          </c:xVal>
          <c:yVal>
            <c:numRef>
              <c:f>'SOAR8.XLS'!$V$10:$V$11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'SOAR8.XLS'!$AA$9:$AA$10</c:f>
              <c:numCache/>
            </c:numRef>
          </c:xVal>
          <c:yVal>
            <c:numRef>
              <c:f>'SOAR8.XLS'!$V$9:$V$10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strRef>
                  <c:f>'SOAR8.XLS'!$A$21</c:f>
                  <c:strCache>
                    <c:ptCount val="1"/>
                    <c:pt idx="0">
                      <c:v>2904 ft MSL Height of -3</c:v>
                    </c:pt>
                  </c:strCache>
                </c:strRef>
              </c:tx>
              <c:txPr>
                <a:bodyPr vert="horz" rot="0" anchor="b"/>
                <a:lstStyle/>
                <a:p>
                  <a:pPr algn="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'SOAR8.XLS'!$AB$2:$AB$3</c:f>
              <c:numCache/>
            </c:numRef>
          </c:xVal>
          <c:yVal>
            <c:numRef>
              <c:f>'SOAR8.XLS'!$Y$9:$Y$10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'SOAR8.XLS'!$A$22</c:f>
                  <c:strCache>
                    <c:ptCount val="1"/>
                    <c:pt idx="0">
                      <c:v>74 deg F Trigger Temp</c:v>
                    </c:pt>
                  </c:strCache>
                </c:strRef>
              </c:tx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'SOAR8.XLS'!$AB$13:$AB$14</c:f>
              <c:numCache/>
            </c:numRef>
          </c:xVal>
          <c:yVal>
            <c:numRef>
              <c:f>'SOAR8.XLS'!$Y$13:$Y$14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'SOAR8.XLS'!$J$9:$J$13</c:f>
              <c:numCache/>
            </c:numRef>
          </c:yVal>
          <c:smooth val="0"/>
        </c:ser>
        <c:axId val="14450485"/>
        <c:axId val="62945502"/>
      </c:scatterChart>
      <c:valAx>
        <c:axId val="14450485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Temp,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out"/>
        <c:tickLblPos val="low"/>
        <c:spPr>
          <a:ln w="25400">
            <a:solidFill>
              <a:srgbClr val="000000"/>
            </a:solidFill>
          </a:ln>
        </c:spPr>
        <c:crossAx val="62945502"/>
        <c:crosses val="max"/>
        <c:crossBetween val="midCat"/>
        <c:dispUnits/>
        <c:minorUnit val="1"/>
      </c:valAx>
      <c:valAx>
        <c:axId val="6294550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Altitude, Ft MSL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out"/>
        <c:tickLblPos val="nextTo"/>
        <c:spPr>
          <a:ln w="25400">
            <a:solidFill>
              <a:srgbClr val="000000"/>
            </a:solidFill>
          </a:ln>
        </c:spPr>
        <c:crossAx val="14450485"/>
        <c:crosses val="max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Soaring Forecast, MSL Altitude domain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625"/>
          <c:w val="0.955"/>
          <c:h val="0.8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>
                <c:strRef>
                  <c:f>'SOAR8.XLS'!$A$23</c:f>
                  <c:strCache>
                    <c:ptCount val="1"/>
                    <c:pt idx="0">
                      <c:v>7124 ft MSL convection ceiling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'SOAR8.XLS'!$A$12:$A$18</c:f>
              <c:numCache>
                <c:ptCount val="7"/>
                <c:pt idx="0">
                  <c:v>65</c:v>
                </c:pt>
                <c:pt idx="1">
                  <c:v>74</c:v>
                </c:pt>
                <c:pt idx="2">
                  <c:v>76</c:v>
                </c:pt>
                <c:pt idx="3">
                  <c:v>70</c:v>
                </c:pt>
                <c:pt idx="4">
                  <c:v>60</c:v>
                </c:pt>
                <c:pt idx="5">
                  <c:v>64</c:v>
                </c:pt>
              </c:numCache>
            </c:numRef>
          </c:xVal>
          <c:yVal>
            <c:numRef>
              <c:f>'SOAR8.XLS'!$C$12:$C$18</c:f>
              <c:numCache>
                <c:ptCount val="7"/>
                <c:pt idx="0">
                  <c:v>1257.9577356194936</c:v>
                </c:pt>
                <c:pt idx="1">
                  <c:v>1545.3829617085432</c:v>
                </c:pt>
                <c:pt idx="2">
                  <c:v>1982.1542965423996</c:v>
                </c:pt>
                <c:pt idx="3">
                  <c:v>3489.548425557687</c:v>
                </c:pt>
                <c:pt idx="4">
                  <c:v>6773.339459657656</c:v>
                </c:pt>
                <c:pt idx="5">
                  <c:v>7124.035907584918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'SOAR8.XLS'!$Z$2:$Z$3</c:f>
              <c:numCache>
                <c:ptCount val="2"/>
                <c:pt idx="0">
                  <c:v>48</c:v>
                </c:pt>
                <c:pt idx="1">
                  <c:v>42.46201071428572</c:v>
                </c:pt>
              </c:numCache>
            </c:numRef>
          </c:xVal>
          <c:yVal>
            <c:numRef>
              <c:f>'SOAR8.XLS'!$V$9:$V$10</c:f>
              <c:numCache>
                <c:ptCount val="2"/>
                <c:pt idx="0">
                  <c:v>2300</c:v>
                </c:pt>
                <c:pt idx="1">
                  <c:v>7992.331109439537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'SOAR8.XLS'!$A$20</c:f>
                  <c:strCache>
                    <c:ptCount val="1"/>
                    <c:pt idx="0">
                      <c:v>7992 ft MSL cloudbase</c:v>
                    </c:pt>
                  </c:strCache>
                </c:strRef>
              </c:tx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'SOAR8.XLS'!$Z$3:$Z$4</c:f>
              <c:numCache>
                <c:ptCount val="2"/>
                <c:pt idx="0">
                  <c:v>42.46201071428572</c:v>
                </c:pt>
                <c:pt idx="1">
                  <c:v>37.422779550127395</c:v>
                </c:pt>
              </c:numCache>
            </c:numRef>
          </c:xVal>
          <c:yVal>
            <c:numRef>
              <c:f>'SOAR8.XLS'!$V$10:$V$11</c:f>
              <c:numCache>
                <c:ptCount val="2"/>
                <c:pt idx="0">
                  <c:v>7992.331109439537</c:v>
                </c:pt>
                <c:pt idx="1">
                  <c:v>10000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'SOAR8.XLS'!$AA$9:$AA$10</c:f>
              <c:numCache>
                <c:ptCount val="2"/>
                <c:pt idx="0">
                  <c:v>81</c:v>
                </c:pt>
                <c:pt idx="1">
                  <c:v>42.46201071428572</c:v>
                </c:pt>
              </c:numCache>
            </c:numRef>
          </c:xVal>
          <c:yVal>
            <c:numRef>
              <c:f>'SOAR8.XLS'!$V$9:$V$10</c:f>
              <c:numCache>
                <c:ptCount val="2"/>
                <c:pt idx="0">
                  <c:v>2300</c:v>
                </c:pt>
                <c:pt idx="1">
                  <c:v>7992.331109439537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strRef>
                  <c:f>'SOAR8.XLS'!$A$21</c:f>
                  <c:strCache>
                    <c:ptCount val="1"/>
                    <c:pt idx="0">
                      <c:v>2904 ft MSL Height of -3</c:v>
                    </c:pt>
                  </c:strCache>
                </c:strRef>
              </c:tx>
              <c:txPr>
                <a:bodyPr vert="horz" rot="0" anchor="b"/>
                <a:lstStyle/>
                <a:p>
                  <a:pPr algn="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'SOAR8.XLS'!$AB$2:$AB$3</c:f>
              <c:numCache>
                <c:ptCount val="2"/>
                <c:pt idx="0">
                  <c:v>75.6</c:v>
                </c:pt>
                <c:pt idx="1">
                  <c:v>72.2917012318662</c:v>
                </c:pt>
              </c:numCache>
            </c:numRef>
          </c:xVal>
          <c:yVal>
            <c:numRef>
              <c:f>'SOAR8.XLS'!$Y$9:$Y$10</c:f>
              <c:numCache>
                <c:ptCount val="2"/>
                <c:pt idx="0">
                  <c:v>2300</c:v>
                </c:pt>
                <c:pt idx="1">
                  <c:v>2904.1392922522214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'SOAR8.XLS'!$A$22</c:f>
                  <c:strCache>
                    <c:ptCount val="1"/>
                    <c:pt idx="0">
                      <c:v>74 deg F Trigger Temp</c:v>
                    </c:pt>
                  </c:strCache>
                </c:strRef>
              </c:tx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'SOAR8.XLS'!$AB$13:$AB$14</c:f>
              <c:numCache>
                <c:ptCount val="2"/>
                <c:pt idx="0">
                  <c:v>74.33850261110017</c:v>
                </c:pt>
                <c:pt idx="1">
                  <c:v>76</c:v>
                </c:pt>
              </c:numCache>
            </c:numRef>
          </c:xVal>
          <c:yVal>
            <c:numRef>
              <c:f>'SOAR8.XLS'!$Y$13:$Y$14</c:f>
              <c:numCache>
                <c:ptCount val="2"/>
                <c:pt idx="0">
                  <c:v>2300</c:v>
                </c:pt>
                <c:pt idx="1">
                  <c:v>1982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'SOAR8.XLS'!$J$9:$J$13</c:f>
              <c:numCache>
                <c:ptCount val="5"/>
                <c:pt idx="4">
                  <c:v>48.02</c:v>
                </c:pt>
              </c:numCache>
            </c:numRef>
          </c:yVal>
          <c:smooth val="0"/>
        </c:ser>
        <c:axId val="29638607"/>
        <c:axId val="65420872"/>
      </c:scatterChart>
      <c:valAx>
        <c:axId val="29638607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Temp,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out"/>
        <c:tickLblPos val="low"/>
        <c:spPr>
          <a:ln w="25400">
            <a:solidFill>
              <a:srgbClr val="000000"/>
            </a:solidFill>
          </a:ln>
        </c:spPr>
        <c:crossAx val="65420872"/>
        <c:crosses val="max"/>
        <c:crossBetween val="midCat"/>
        <c:dispUnits/>
        <c:minorUnit val="1"/>
      </c:valAx>
      <c:valAx>
        <c:axId val="6542087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Altitude, Ft MSL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out"/>
        <c:tickLblPos val="nextTo"/>
        <c:spPr>
          <a:ln w="25400">
            <a:solidFill>
              <a:srgbClr val="000000"/>
            </a:solidFill>
          </a:ln>
        </c:spPr>
        <c:crossAx val="29638607"/>
        <c:crosses val="max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42</xdr:row>
      <xdr:rowOff>152400</xdr:rowOff>
    </xdr:from>
    <xdr:to>
      <xdr:col>32</xdr:col>
      <xdr:colOff>581025</xdr:colOff>
      <xdr:row>87</xdr:row>
      <xdr:rowOff>152400</xdr:rowOff>
    </xdr:to>
    <xdr:graphicFrame>
      <xdr:nvGraphicFramePr>
        <xdr:cNvPr id="1" name="Chart 6"/>
        <xdr:cNvGraphicFramePr/>
      </xdr:nvGraphicFramePr>
      <xdr:xfrm>
        <a:off x="10487025" y="7191375"/>
        <a:ext cx="46958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7</xdr:row>
      <xdr:rowOff>0</xdr:rowOff>
    </xdr:from>
    <xdr:to>
      <xdr:col>22</xdr:col>
      <xdr:colOff>257175</xdr:colOff>
      <xdr:row>40</xdr:row>
      <xdr:rowOff>0</xdr:rowOff>
    </xdr:to>
    <xdr:graphicFrame>
      <xdr:nvGraphicFramePr>
        <xdr:cNvPr id="2" name="Chart 7"/>
        <xdr:cNvGraphicFramePr/>
      </xdr:nvGraphicFramePr>
      <xdr:xfrm>
        <a:off x="6419850" y="1133475"/>
        <a:ext cx="52863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workbookViewId="0" topLeftCell="A1">
      <selection activeCell="H17" sqref="H17"/>
      <selection activeCell="A1" sqref="A1"/>
    </sheetView>
  </sheetViews>
  <sheetFormatPr defaultColWidth="9.140625" defaultRowHeight="12.75" outlineLevelCol="2"/>
  <cols>
    <col min="1" max="1" width="7.00390625" style="0" customWidth="1"/>
    <col min="2" max="2" width="7.140625" style="0" customWidth="1"/>
    <col min="3" max="3" width="6.421875" style="77" customWidth="1"/>
    <col min="4" max="4" width="0" style="7" hidden="1" customWidth="1" outlineLevel="1"/>
    <col min="5" max="5" width="7.8515625" style="8" customWidth="1" collapsed="1"/>
    <col min="6" max="6" width="5.28125" style="10" customWidth="1"/>
    <col min="7" max="7" width="6.421875" style="10" customWidth="1"/>
    <col min="8" max="8" width="9.421875" style="0" customWidth="1" outlineLevel="1"/>
    <col min="9" max="9" width="7.140625" style="7" customWidth="1" outlineLevel="1"/>
    <col min="10" max="10" width="7.00390625" style="8" customWidth="1" outlineLevel="1" collapsed="1"/>
    <col min="11" max="11" width="7.421875" style="35" customWidth="1" outlineLevel="1"/>
    <col min="12" max="12" width="7.421875" style="10" customWidth="1" outlineLevel="1"/>
    <col min="13" max="13" width="6.421875" style="40" customWidth="1" outlineLevel="1"/>
    <col min="14" max="14" width="5.421875" style="7" customWidth="1" outlineLevel="2"/>
    <col min="15" max="15" width="5.8515625" style="8" customWidth="1" outlineLevel="1"/>
    <col min="16" max="16" width="26.140625" style="0" customWidth="1"/>
    <col min="17" max="17" width="8.00390625" style="0" customWidth="1"/>
    <col min="18" max="18" width="8.28125" style="38" customWidth="1"/>
    <col min="19" max="19" width="17.421875" style="0" customWidth="1"/>
    <col min="20" max="20" width="5.421875" style="10" customWidth="1"/>
    <col min="21" max="21" width="4.140625" style="10" customWidth="1"/>
    <col min="22" max="22" width="6.00390625" style="10" customWidth="1"/>
    <col min="23" max="23" width="7.421875" style="10" customWidth="1"/>
    <col min="24" max="24" width="4.140625" style="10" customWidth="1"/>
    <col min="25" max="25" width="5.00390625" style="10" customWidth="1"/>
    <col min="26" max="29" width="3.140625" style="10" customWidth="1"/>
    <col min="30" max="30" width="4.140625" style="10" customWidth="1"/>
    <col min="31" max="31" width="5.140625" style="10" customWidth="1"/>
    <col min="32" max="16384" width="8.8515625" style="0" customWidth="1"/>
  </cols>
  <sheetData>
    <row r="1" spans="1:18" ht="12.75">
      <c r="A1" s="1" t="s">
        <v>0</v>
      </c>
      <c r="B1" s="2"/>
      <c r="C1" s="3"/>
      <c r="D1" s="4">
        <f aca="true" t="shared" si="0" ref="D1:D7">IF(A12&lt;&gt;"",(A12-32)/1.8,"")</f>
        <v>18.333333333333332</v>
      </c>
      <c r="E1" s="5"/>
      <c r="F1" s="2"/>
      <c r="G1"/>
      <c r="H1" s="6" t="s">
        <v>1</v>
      </c>
      <c r="I1" s="7" t="s">
        <v>2</v>
      </c>
      <c r="J1" s="8" t="s">
        <v>3</v>
      </c>
      <c r="K1" s="9" t="s">
        <v>4</v>
      </c>
      <c r="L1" s="10" t="s">
        <v>5</v>
      </c>
      <c r="M1" s="11" t="s">
        <v>6</v>
      </c>
      <c r="O1" s="8" t="s">
        <v>7</v>
      </c>
      <c r="R1"/>
    </row>
    <row r="2" spans="1:31" ht="12.75">
      <c r="A2" s="12" t="s">
        <v>8</v>
      </c>
      <c r="B2" s="13"/>
      <c r="C2" s="14"/>
      <c r="D2" s="15">
        <f t="shared" si="0"/>
        <v>23.333333333333332</v>
      </c>
      <c r="E2" s="16"/>
      <c r="F2" s="13"/>
      <c r="G2"/>
      <c r="H2" s="17">
        <f>(D1-D2)/(B12-B13)</f>
        <v>-0.5</v>
      </c>
      <c r="I2" s="7">
        <f>(sitepres-B13)*H2+D2</f>
        <v>36.21781561217536</v>
      </c>
      <c r="J2" s="8">
        <f>I2*1.8+32</f>
        <v>97.19206810191565</v>
      </c>
      <c r="K2" s="18" t="b">
        <f>IF(AND(L2&lt;B12,L2&gt;B13),TRUE,FALSE)</f>
        <v>0</v>
      </c>
      <c r="L2" s="10">
        <f>(maxtmp_c-3-I2)/(H2-std_rate)+sitepres</f>
        <v>959.5182709656149</v>
      </c>
      <c r="M2" s="19">
        <f>LN($E$4/L2)*27880+soundalt</f>
        <v>1704.2081816094192</v>
      </c>
      <c r="N2" s="7">
        <f>H2*(L2-sitepres)+I2</f>
        <v>26.07419785052589</v>
      </c>
      <c r="O2" s="8">
        <f>N2*1.8+32</f>
        <v>78.93355613094661</v>
      </c>
      <c r="R2"/>
      <c r="T2" s="7">
        <f>(maxtemp-32)/1.8</f>
        <v>27.22222222222222</v>
      </c>
      <c r="U2" s="10">
        <f>sitepres</f>
        <v>939.2310354423159</v>
      </c>
      <c r="V2" s="10">
        <v>0</v>
      </c>
      <c r="X2" s="10">
        <f>sitepres</f>
        <v>939.2310354423159</v>
      </c>
      <c r="Y2" s="10">
        <v>0</v>
      </c>
      <c r="Z2" s="10">
        <f>1.8*(dewpt_c-2.3/175*(sitepres-$U2))+32</f>
        <v>48</v>
      </c>
      <c r="AA2" s="10">
        <f>1.8*(maxtmp_c-13.7/175*(sitepres-$U2))+32</f>
        <v>81</v>
      </c>
      <c r="AB2" s="10">
        <f>AA2-5.4</f>
        <v>75.6</v>
      </c>
      <c r="AC2" s="10">
        <f>AA2+3</f>
        <v>84</v>
      </c>
      <c r="AD2" s="10">
        <f>sitepres</f>
        <v>939.2310354423159</v>
      </c>
      <c r="AE2" s="10">
        <v>0</v>
      </c>
    </row>
    <row r="3" spans="1:31" ht="12.75">
      <c r="A3" s="20" t="s">
        <v>9</v>
      </c>
      <c r="B3" s="21"/>
      <c r="C3" s="21"/>
      <c r="D3" s="22">
        <f t="shared" si="0"/>
        <v>24.444444444444443</v>
      </c>
      <c r="E3" s="21"/>
      <c r="F3" s="23"/>
      <c r="G3"/>
      <c r="H3" s="17">
        <f>(D2-D3)/(B13-B14)</f>
        <v>-0.07407407407407404</v>
      </c>
      <c r="I3" s="7">
        <f>(sitepres-B14)*H3+D3</f>
        <v>25.24214552279141</v>
      </c>
      <c r="J3" s="8">
        <f>I3*1.8+32</f>
        <v>77.43586194102454</v>
      </c>
      <c r="K3" s="18" t="b">
        <f>IF(AND(L3&lt;B13,L3&gt;B14),TRUE,FALSE)</f>
        <v>0</v>
      </c>
      <c r="L3" s="10">
        <f>(maxtmp_c-3-I3)/(H3-std_rate)+sitepres</f>
        <v>945.3988643533628</v>
      </c>
      <c r="M3" s="19">
        <f>LN($E$4/L3)*27880+soundalt</f>
        <v>2117.513577611199</v>
      </c>
      <c r="N3" s="7">
        <f>H3*(L3-sitepres)+I3</f>
        <v>24.78526930715831</v>
      </c>
      <c r="O3" s="8">
        <f>N3*1.8+32</f>
        <v>76.61348475288496</v>
      </c>
      <c r="R3"/>
      <c r="T3" s="7">
        <f>(dewpt-32)/1.8</f>
        <v>8.88888888888889</v>
      </c>
      <c r="U3" s="10">
        <f>204.3/16*(dewpt_c-maxtmp_c)+sitepres</f>
        <v>705.1372854423159</v>
      </c>
      <c r="V3" s="10">
        <f>LN(sitepres/U3)*27880</f>
        <v>7992.331109439537</v>
      </c>
      <c r="X3" s="10">
        <f>INDEX($L$2:$L$6,MATCH(TRUE,$K$2:$K$6,0))</f>
        <v>919.0975102655517</v>
      </c>
      <c r="Y3" s="10">
        <f>LN($E$4/X3)*27880+soundalt-sitealt</f>
        <v>604.1392922522214</v>
      </c>
      <c r="Z3" s="10">
        <f>1.8*(dewpt_c-2.3/175*(sitepres-$U3))+32</f>
        <v>42.46201071428572</v>
      </c>
      <c r="AA3" s="10">
        <f>Z3</f>
        <v>42.46201071428572</v>
      </c>
      <c r="AB3" s="10">
        <f>INDEX($O$2:$O$6,MATCH(TRUE,$K$2:$K$6,0))</f>
        <v>72.2917012318662</v>
      </c>
      <c r="AC3" s="10">
        <f>1.8*(dewpt_c-2.3/175*(sitepres-$AD3))+32</f>
        <v>41.956204379562045</v>
      </c>
      <c r="AD3" s="10">
        <f>175/13.7*(dewpt_c-maxtmp_c-3/1.8)+sitepres</f>
        <v>683.7565828875714</v>
      </c>
      <c r="AE3" s="10">
        <f>ROUND(LN(sitepres/AD3)*27880,0)</f>
        <v>8851</v>
      </c>
    </row>
    <row r="4" spans="1:30" ht="12.75">
      <c r="A4" s="24" t="s">
        <v>10</v>
      </c>
      <c r="B4" s="25"/>
      <c r="C4" s="25"/>
      <c r="D4" s="26">
        <f t="shared" si="0"/>
        <v>21.11111111111111</v>
      </c>
      <c r="E4" s="27">
        <v>1020</v>
      </c>
      <c r="F4" s="2"/>
      <c r="G4"/>
      <c r="H4" s="17">
        <f>(D3-D4)/(B14-B15)</f>
        <v>0.06666666666666664</v>
      </c>
      <c r="I4" s="7">
        <f>(sitepres-B15)*H4+D4</f>
        <v>23.726513473932172</v>
      </c>
      <c r="J4" s="8">
        <f>I4*1.8+32</f>
        <v>74.70772425307791</v>
      </c>
      <c r="K4" s="18" t="b">
        <f>IF(AND(L4&lt;B14,L4&gt;B15),TRUE,FALSE)</f>
        <v>1</v>
      </c>
      <c r="L4" s="10">
        <f>(maxtmp_c-3-I4)/(H4-std_rate)+sitepres</f>
        <v>919.0975102655517</v>
      </c>
      <c r="M4" s="19">
        <f>LN($E$4/L4)*27880+soundalt</f>
        <v>2904.1392922522214</v>
      </c>
      <c r="N4" s="7">
        <f>H4*(L4-sitepres)+I4</f>
        <v>22.38427846214789</v>
      </c>
      <c r="O4" s="8">
        <f>N4*1.8+32</f>
        <v>72.2917012318662</v>
      </c>
      <c r="R4"/>
      <c r="U4" s="10">
        <f>sitepres/(EXP(V4/27880))</f>
        <v>656.1447602352212</v>
      </c>
      <c r="V4" s="10">
        <v>10000</v>
      </c>
      <c r="Z4" s="10">
        <f>1.8*((Z3-32)/1.8-10/175*($U3-$U4))+32</f>
        <v>37.422779550127395</v>
      </c>
      <c r="AC4" s="10">
        <f>dewpt_c</f>
        <v>8.88888888888889</v>
      </c>
      <c r="AD4" s="10">
        <f>175/13.7*(dewpt_c-maxtmp_c)+sitepres</f>
        <v>705.0461206004668</v>
      </c>
    </row>
    <row r="5" spans="1:18" ht="12.75">
      <c r="A5" s="28" t="s">
        <v>11</v>
      </c>
      <c r="B5" s="29"/>
      <c r="C5" s="29"/>
      <c r="D5" s="30">
        <f t="shared" si="0"/>
        <v>15.555555555555555</v>
      </c>
      <c r="E5" s="31">
        <v>0</v>
      </c>
      <c r="F5" s="32"/>
      <c r="G5"/>
      <c r="H5" s="17">
        <f>(D4-D5)/(B15-B16)</f>
        <v>0.05555555555555555</v>
      </c>
      <c r="I5" s="7">
        <f>(sitepres-B16)*H5+D5</f>
        <v>23.290613080128665</v>
      </c>
      <c r="J5" s="8">
        <f>I5*1.8+32</f>
        <v>73.9231035442316</v>
      </c>
      <c r="K5" s="18" t="b">
        <f>IF(AND(L5&lt;B15,L5&gt;B16),TRUE,FALSE)</f>
        <v>0</v>
      </c>
      <c r="L5" s="10">
        <f>(maxtmp_c-3-I5)/(H5-std_rate)+sitepres</f>
        <v>913.1590367017386</v>
      </c>
      <c r="M5" s="19">
        <f>LN($E$4/L5)*27880+soundalt</f>
        <v>3084.8620441656235</v>
      </c>
      <c r="N5" s="7">
        <f>H5*(L5-sitepres)+I5</f>
        <v>21.842168705652146</v>
      </c>
      <c r="O5" s="8">
        <f>N5*1.8+32</f>
        <v>71.31590367017387</v>
      </c>
      <c r="R5"/>
    </row>
    <row r="6" spans="1:28" ht="12.75">
      <c r="A6" s="28" t="s">
        <v>12</v>
      </c>
      <c r="B6" s="29"/>
      <c r="C6" s="29"/>
      <c r="D6" s="30">
        <f t="shared" si="0"/>
        <v>17.77777777777778</v>
      </c>
      <c r="E6" s="33">
        <v>81</v>
      </c>
      <c r="F6" s="32"/>
      <c r="G6"/>
      <c r="H6" s="17">
        <f>(D5-D6)/(B16-B17)</f>
        <v>-0.22222222222222232</v>
      </c>
      <c r="I6" s="7">
        <f>(sitepres-B17)*H6+D6</f>
        <v>-15.384674542736889</v>
      </c>
      <c r="J6" s="8">
        <f>I6*1.8+32</f>
        <v>4.307585823073598</v>
      </c>
      <c r="K6" s="18" t="b">
        <f>IF(AND(L6&lt;B16,L6&gt;B17),TRUE,FALSE)</f>
        <v>0</v>
      </c>
      <c r="L6" s="10">
        <f>(maxtmp_c-3-I6)/(H6-std_rate)+sitepres</f>
        <v>812.8972562455888</v>
      </c>
      <c r="M6" s="19">
        <f>LN($E$4/L6)*27880+soundalt</f>
        <v>6327.454680657236</v>
      </c>
      <c r="N6" s="7">
        <f>H6*(L6-sitepres)+I6</f>
        <v>12.689498612091384</v>
      </c>
      <c r="O6" s="8">
        <f>N6*1.8+32</f>
        <v>54.841097501764494</v>
      </c>
      <c r="P6" s="34"/>
      <c r="R6"/>
      <c r="S6" s="35"/>
      <c r="X6" s="10">
        <f>sitepres</f>
        <v>939.2310354423159</v>
      </c>
      <c r="Y6" s="10">
        <f>ROUND(LN(sitepres/X6)*27880,0)</f>
        <v>0</v>
      </c>
      <c r="AA6" s="10">
        <f>1.8*((AB7-32)/1.8-15/175*($X7-sitepres))+32</f>
        <v>74.33850261110017</v>
      </c>
      <c r="AB6" s="10">
        <f>1.8*((AB7-32)/1.8-15/175*($X7-sitepres))+32</f>
        <v>74.33850261110017</v>
      </c>
    </row>
    <row r="7" spans="1:28" ht="12.75">
      <c r="A7" s="28" t="s">
        <v>13</v>
      </c>
      <c r="B7" s="29"/>
      <c r="C7" s="29"/>
      <c r="D7" s="30">
        <f t="shared" si="0"/>
      </c>
      <c r="E7" s="33">
        <v>48</v>
      </c>
      <c r="F7" s="36"/>
      <c r="H7" s="35"/>
      <c r="M7" s="37"/>
      <c r="X7" s="10">
        <f>IF($H$3&gt;0.01,$B$13,$B$14)</f>
        <v>950</v>
      </c>
      <c r="Y7" s="10">
        <f>LN(sitepres/X7)*27880</f>
        <v>-317.84570345760113</v>
      </c>
      <c r="AA7" s="10">
        <f>$A$14</f>
        <v>76</v>
      </c>
      <c r="AB7" s="10">
        <f>IF($H$3&gt;0.01,$A$13,$A$14)</f>
        <v>76</v>
      </c>
    </row>
    <row r="8" spans="1:8" ht="12.75">
      <c r="A8" s="28" t="s">
        <v>14</v>
      </c>
      <c r="B8" s="29"/>
      <c r="C8" s="29"/>
      <c r="D8" s="30"/>
      <c r="E8" s="39">
        <v>2300</v>
      </c>
      <c r="F8" s="36"/>
      <c r="H8" s="9" t="s">
        <v>15</v>
      </c>
    </row>
    <row r="9" spans="1:31" ht="12.75">
      <c r="A9" s="41" t="s">
        <v>16</v>
      </c>
      <c r="B9" s="42"/>
      <c r="C9" s="42"/>
      <c r="D9" s="43"/>
      <c r="E9" s="44">
        <f>ambpres/(EXP((sitealt-soundalt)/27880))</f>
        <v>939.2310354423159</v>
      </c>
      <c r="F9" s="45"/>
      <c r="H9" s="17">
        <f>16/175.27</f>
        <v>0.09128772750613338</v>
      </c>
      <c r="U9" s="10">
        <f>sitepres</f>
        <v>939.2310354423159</v>
      </c>
      <c r="V9" s="10">
        <f>ROUND(LN(U9/sitepres)*27880,0)+sitealt</f>
        <v>2300</v>
      </c>
      <c r="X9" s="10">
        <f>sitepres</f>
        <v>939.2310354423159</v>
      </c>
      <c r="Y9" s="10">
        <f>ROUND(LN(X9/sitepres)*27880,0)+sitealt</f>
        <v>2300</v>
      </c>
      <c r="Z9" s="10">
        <f>1.8*(dewpt_c-2.3/175*(sitepres-$U9))+32</f>
        <v>48</v>
      </c>
      <c r="AA9" s="10">
        <f>1.8*(maxtmp_c-13.7/175*(sitepres-$U9))+32</f>
        <v>81</v>
      </c>
      <c r="AB9" s="10">
        <f>AA9-5.4</f>
        <v>75.6</v>
      </c>
      <c r="AC9" s="10">
        <f>AA9+3</f>
        <v>84</v>
      </c>
      <c r="AD9" s="10">
        <f>sitepres</f>
        <v>939.2310354423159</v>
      </c>
      <c r="AE9" s="10">
        <f>ROUND(LN(AD9/sitepres)*27880,0)+sitealt</f>
        <v>2300</v>
      </c>
    </row>
    <row r="10" spans="1:31" ht="12.75">
      <c r="A10" s="1" t="s">
        <v>0</v>
      </c>
      <c r="B10" s="25"/>
      <c r="C10" s="46"/>
      <c r="D10" s="26"/>
      <c r="E10" s="47" t="s">
        <v>17</v>
      </c>
      <c r="F10" s="48"/>
      <c r="H10" s="35"/>
      <c r="U10" s="10">
        <f>204.3/16*(dewpt_c-maxtmp_c)+sitepres</f>
        <v>705.1372854423159</v>
      </c>
      <c r="V10" s="10">
        <f>LN(sitepres/U10)*27880</f>
        <v>7992.331109439537</v>
      </c>
      <c r="X10" s="10">
        <f>INDEX($L$2:$L$6,MATCH(TRUE,$K$2:$K$6,0))</f>
        <v>919.0975102655517</v>
      </c>
      <c r="Y10" s="10">
        <f>LN($E$4/X10)*27880+soundalt</f>
        <v>2904.1392922522214</v>
      </c>
      <c r="Z10" s="10">
        <f>1.8*(dewpt_c-2.3/175*(sitepres-$U10))+32</f>
        <v>42.46201071428572</v>
      </c>
      <c r="AA10" s="10">
        <f>Z10</f>
        <v>42.46201071428572</v>
      </c>
      <c r="AB10" s="10">
        <f>INDEX($O$2:$O$6,MATCH(TRUE,$K$2:$K$6,0))</f>
        <v>72.2917012318662</v>
      </c>
      <c r="AC10" s="10">
        <f>1.8*(dewpt_c-2.3/175*(sitepres-$AD10))+32</f>
        <v>43.86696731252668</v>
      </c>
      <c r="AD10" s="10">
        <f>175/13.7*(dewpt_c-maxtmp_c-3/1.8)+ambpres</f>
        <v>764.5255474452555</v>
      </c>
      <c r="AE10" s="10">
        <f>ROUND(LN(sitepres/AD10)*27880,0)</f>
        <v>5738</v>
      </c>
    </row>
    <row r="11" spans="1:30" ht="12.75">
      <c r="A11" s="49" t="s">
        <v>7</v>
      </c>
      <c r="B11" s="50" t="s">
        <v>18</v>
      </c>
      <c r="C11" s="50" t="s">
        <v>19</v>
      </c>
      <c r="D11" s="43"/>
      <c r="E11" s="51" t="s">
        <v>20</v>
      </c>
      <c r="F11" s="52" t="s">
        <v>21</v>
      </c>
      <c r="H11" s="35"/>
      <c r="U11" s="10">
        <f>sitepres/(EXP(V11/27880))</f>
        <v>656.1447602352212</v>
      </c>
      <c r="V11" s="10">
        <v>10000</v>
      </c>
      <c r="Z11" s="10">
        <f>1.8*((Z10-32)/1.8-10/175*($U10-$U11))+32</f>
        <v>37.422779550127395</v>
      </c>
      <c r="AC11" s="10">
        <f>dewpt_c</f>
        <v>8.88888888888889</v>
      </c>
      <c r="AD11" s="10">
        <f>175/13.7*(dewpt_c-maxtmp_c)+ambpres</f>
        <v>785.8150851581509</v>
      </c>
    </row>
    <row r="12" spans="1:8" ht="12.75">
      <c r="A12" s="53">
        <v>65</v>
      </c>
      <c r="B12" s="54">
        <v>975</v>
      </c>
      <c r="C12" s="55">
        <f aca="true" t="shared" si="1" ref="C12:C17">LN($E$4/B12)*27880+soundalt</f>
        <v>1257.9577356194936</v>
      </c>
      <c r="D12" s="26">
        <f>IF(E12&lt;&gt;"",(E12-32)/1.8,"")</f>
      </c>
      <c r="E12" s="56"/>
      <c r="F12" s="57"/>
      <c r="H12" s="35"/>
    </row>
    <row r="13" spans="1:28" ht="12.75">
      <c r="A13" s="58">
        <v>74</v>
      </c>
      <c r="B13" s="59">
        <v>965</v>
      </c>
      <c r="C13" s="60">
        <f t="shared" si="1"/>
        <v>1545.3829617085432</v>
      </c>
      <c r="D13" s="30">
        <f>IF(E13&lt;&gt;"",(E13-32)/1.8,"")</f>
      </c>
      <c r="E13" s="61"/>
      <c r="F13" s="62"/>
      <c r="H13" s="35"/>
      <c r="I13" s="85">
        <v>8.9</v>
      </c>
      <c r="J13" s="8">
        <f>((I13*9)/5)+32</f>
        <v>48.02</v>
      </c>
      <c r="X13" s="10">
        <f>sitepres</f>
        <v>939.2310354423159</v>
      </c>
      <c r="Y13" s="10">
        <f>ROUND(LN(sitepres/X13)*27880,0)+sitealt</f>
        <v>2300</v>
      </c>
      <c r="AA13" s="10">
        <f>1.8*((AB14-32)/1.8-15/175*($X14-sitepres))+32</f>
        <v>74.33850261110017</v>
      </c>
      <c r="AB13" s="10">
        <f>1.8*((AB14-32)/1.8-15/175*($X14-sitepres))+32</f>
        <v>74.33850261110017</v>
      </c>
    </row>
    <row r="14" spans="1:28" ht="12.75">
      <c r="A14" s="58">
        <v>76</v>
      </c>
      <c r="B14" s="59">
        <v>950</v>
      </c>
      <c r="C14" s="60">
        <f t="shared" si="1"/>
        <v>1982.1542965423996</v>
      </c>
      <c r="D14" s="30">
        <f>IF(E14&lt;&gt;"",(E14-32)/1.8,"")</f>
      </c>
      <c r="E14" s="61"/>
      <c r="F14" s="62"/>
      <c r="H14" s="35"/>
      <c r="I14" s="85">
        <v>27</v>
      </c>
      <c r="J14" s="8">
        <f>((I14*9)/5)+32</f>
        <v>80.6</v>
      </c>
      <c r="X14" s="10">
        <f>IF($H$3&gt;0.01,$B$13,$B$14)</f>
        <v>950</v>
      </c>
      <c r="Y14" s="10">
        <f>ROUND(LN(sitepres/X14)*27880,0)+sitealt</f>
        <v>1982</v>
      </c>
      <c r="AA14" s="10">
        <f>$A$14</f>
        <v>76</v>
      </c>
      <c r="AB14" s="10">
        <f>IF($H$3&gt;0.01,$A$13,$A$14)</f>
        <v>76</v>
      </c>
    </row>
    <row r="15" spans="1:8" ht="12.75">
      <c r="A15" s="58">
        <v>70</v>
      </c>
      <c r="B15" s="59">
        <v>900</v>
      </c>
      <c r="C15" s="60">
        <f t="shared" si="1"/>
        <v>3489.548425557687</v>
      </c>
      <c r="D15" s="30">
        <f>IF(E15&lt;&gt;"",(E15-32)/1.8,"")</f>
      </c>
      <c r="E15" s="61"/>
      <c r="F15" s="62"/>
      <c r="H15" s="35"/>
    </row>
    <row r="16" spans="1:8" ht="12.75">
      <c r="A16" s="58">
        <v>60</v>
      </c>
      <c r="B16" s="59">
        <v>800</v>
      </c>
      <c r="C16" s="60">
        <f t="shared" si="1"/>
        <v>6773.339459657656</v>
      </c>
      <c r="D16" s="30">
        <f>IF(E16&lt;&gt;"",(E16-32)/1.8,"")</f>
      </c>
      <c r="E16" s="61"/>
      <c r="F16" s="62"/>
      <c r="H16" s="35"/>
    </row>
    <row r="17" spans="1:8" ht="12.75">
      <c r="A17" s="58">
        <v>64</v>
      </c>
      <c r="B17" s="59">
        <v>790</v>
      </c>
      <c r="C17" s="60">
        <f t="shared" si="1"/>
        <v>7124.035907584918</v>
      </c>
      <c r="D17" s="30"/>
      <c r="E17" s="61"/>
      <c r="F17" s="62"/>
      <c r="H17" s="63"/>
    </row>
    <row r="18" spans="1:6" ht="12.75">
      <c r="A18" s="14"/>
      <c r="B18" s="16"/>
      <c r="C18" s="42"/>
      <c r="D18" s="43"/>
      <c r="E18" s="64"/>
      <c r="F18" s="65"/>
    </row>
    <row r="19" spans="1:6" ht="12.75">
      <c r="A19" s="20" t="s">
        <v>22</v>
      </c>
      <c r="B19" s="66" t="s">
        <v>23</v>
      </c>
      <c r="C19" s="21"/>
      <c r="D19" s="22"/>
      <c r="E19" s="67"/>
      <c r="F19" s="68"/>
    </row>
    <row r="20" spans="1:6" ht="12.75">
      <c r="A20" s="24" t="str">
        <f>TEXT(CHOOSE((B19="MSL")+1,V3,V10),"0")&amp;" ft "&amp;B19&amp;" cloudbase"</f>
        <v>7992 ft MSL cloudbase</v>
      </c>
      <c r="B20" s="25"/>
      <c r="C20" s="25"/>
      <c r="D20" s="26"/>
      <c r="E20" s="84">
        <f>V3/3.28119658119658</f>
        <v>2435.79770722695</v>
      </c>
      <c r="F20" s="69" t="s">
        <v>26</v>
      </c>
    </row>
    <row r="21" spans="1:6" ht="12.75">
      <c r="A21" s="28" t="str">
        <f>TEXT(CHOOSE((B19="MSL")+1,Y3,Y10),"0")&amp;" ft "&amp;B19&amp;" Height of -3"</f>
        <v>2904 ft MSL Height of -3</v>
      </c>
      <c r="B21" s="29"/>
      <c r="C21" s="29"/>
      <c r="D21" s="30"/>
      <c r="E21" s="70"/>
      <c r="F21" s="36"/>
    </row>
    <row r="22" spans="1:6" ht="12.75">
      <c r="A22" s="28" t="str">
        <f>TEXT(AB6,"0")&amp;" deg F Trigger Temp"</f>
        <v>74 deg F Trigger Temp</v>
      </c>
      <c r="B22" s="29"/>
      <c r="C22" s="29"/>
      <c r="D22" s="30"/>
      <c r="E22" s="70"/>
      <c r="F22" s="36"/>
    </row>
    <row r="23" spans="1:6" ht="12.75">
      <c r="A23" s="28" t="str">
        <f>IF(H6&lt;0,TEXT(C17,"0")&amp;" ft "&amp;B19&amp;" convection ceiling","")</f>
        <v>7124 ft MSL convection ceiling</v>
      </c>
      <c r="B23" s="29"/>
      <c r="C23" s="29"/>
      <c r="D23" s="30"/>
      <c r="E23" s="70"/>
      <c r="F23" s="36"/>
    </row>
    <row r="24" spans="1:6" ht="12.75">
      <c r="A24" s="41" t="str">
        <f>IF(H6&lt;0,TEXT(C17/10,"0")&amp;" ft/m Max thermal index","")</f>
        <v>712 ft/m Max thermal index</v>
      </c>
      <c r="B24" s="42"/>
      <c r="C24" s="42"/>
      <c r="D24" s="43"/>
      <c r="E24" s="71"/>
      <c r="F24" s="45"/>
    </row>
    <row r="25" spans="1:6" ht="12.75">
      <c r="A25" s="72"/>
      <c r="B25" s="72"/>
      <c r="C25" s="73"/>
      <c r="D25" s="74"/>
      <c r="E25" s="75"/>
      <c r="F25" s="76"/>
    </row>
    <row r="26" spans="1:6" ht="12.75">
      <c r="A26" s="72"/>
      <c r="B26" s="72"/>
      <c r="C26" s="73"/>
      <c r="D26" s="74"/>
      <c r="E26" s="75"/>
      <c r="F26" s="76"/>
    </row>
    <row r="28" spans="1:9" ht="31.5">
      <c r="A28" s="78" t="s">
        <v>24</v>
      </c>
      <c r="C28" s="79"/>
      <c r="D28" s="80"/>
      <c r="E28" s="81"/>
      <c r="F28" s="82" t="s">
        <v>25</v>
      </c>
      <c r="G28" s="83"/>
      <c r="H28" s="78"/>
      <c r="I28" s="80"/>
    </row>
  </sheetData>
  <hyperlinks>
    <hyperlink ref="F28" r:id="rId1" display="www.flybc.org"/>
  </hyperlinks>
  <printOptions/>
  <pageMargins left="0.75" right="0.75" top="0.62" bottom="0.66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www.flybc.org</Manager>
  <Company>www.flybc.org</Company>
  <HyperlinkBase>http://www.flybc.org/SOAR8.XLW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Saoring Forecast</dc:title>
  <dc:subject>cloudbase forecast</dc:subject>
  <dc:creator>www.flybc.org</dc:creator>
  <cp:keywords>soaring</cp:keywords>
  <dc:description>www.flybc.org</dc:description>
  <cp:lastModifiedBy>reichj</cp:lastModifiedBy>
  <dcterms:created xsi:type="dcterms:W3CDTF">2003-01-12T17:37:50Z</dcterms:created>
  <dcterms:modified xsi:type="dcterms:W3CDTF">2006-06-29T14:19:36Z</dcterms:modified>
  <cp:category>www.flybc.org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